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tables/table4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\Documents\Estudios\Universidad\MASTER RENOVABLES\TEMARIO\MÓDULO 10_ TRABAJO FIN DE MASTER\PARTES ELABORANDO\"/>
    </mc:Choice>
  </mc:AlternateContent>
  <bookViews>
    <workbookView xWindow="0" yWindow="0" windowWidth="27630" windowHeight="11670"/>
  </bookViews>
  <sheets>
    <sheet name="Hoja1" sheetId="1" r:id="rId1"/>
    <sheet name="analisis sin ayuda" sheetId="2" r:id="rId2"/>
    <sheet name="analisis con ayuda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 l="1"/>
  <c r="J5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C4" i="3"/>
  <c r="M18" i="1" l="1"/>
  <c r="M20" i="1" s="1"/>
  <c r="M22" i="1" s="1"/>
  <c r="J21" i="1"/>
  <c r="O5" i="1"/>
  <c r="I31" i="1"/>
  <c r="J33" i="1" s="1"/>
  <c r="E31" i="1"/>
  <c r="M25" i="1" l="1"/>
  <c r="M33" i="1" s="1"/>
  <c r="J3" i="1"/>
  <c r="C3" i="3" s="1"/>
  <c r="E29" i="1"/>
  <c r="B7" i="2" l="1"/>
  <c r="B12" i="3" s="1"/>
  <c r="C2" i="3"/>
  <c r="C5" i="3" s="1"/>
  <c r="I29" i="1"/>
  <c r="B8" i="2" s="1"/>
  <c r="B13" i="3" l="1"/>
  <c r="B8" i="3"/>
  <c r="B11" i="3" l="1"/>
  <c r="B10" i="3"/>
</calcChain>
</file>

<file path=xl/comments1.xml><?xml version="1.0" encoding="utf-8"?>
<comments xmlns="http://schemas.openxmlformats.org/spreadsheetml/2006/main">
  <authors>
    <author>Daniel</author>
  </authors>
  <commentList>
    <comment ref="C8" authorId="0" shapeId="0">
      <text>
        <r>
          <rPr>
            <b/>
            <sz val="9"/>
            <color indexed="81"/>
            <rFont val="Tahoma"/>
            <charset val="1"/>
          </rPr>
          <t>Daniel:</t>
        </r>
        <r>
          <rPr>
            <sz val="9"/>
            <color indexed="81"/>
            <rFont val="Tahoma"/>
            <charset val="1"/>
          </rPr>
          <t xml:space="preserve">
Por Wp, ver si tenemos un precio de cada estructura/string o algo.</t>
        </r>
      </text>
    </comment>
  </commentList>
</comments>
</file>

<file path=xl/sharedStrings.xml><?xml version="1.0" encoding="utf-8"?>
<sst xmlns="http://schemas.openxmlformats.org/spreadsheetml/2006/main" count="95" uniqueCount="80">
  <si>
    <t>Coste unitario</t>
  </si>
  <si>
    <t>Coste total</t>
  </si>
  <si>
    <t>Modulos</t>
  </si>
  <si>
    <t>Inversor STS9K</t>
  </si>
  <si>
    <t>Inversor STS6K</t>
  </si>
  <si>
    <t>Inversor STS3K</t>
  </si>
  <si>
    <t>Estructura</t>
  </si>
  <si>
    <t>Campamento de obra</t>
  </si>
  <si>
    <t>Puesta a punto de terreno</t>
  </si>
  <si>
    <t xml:space="preserve">Caminos </t>
  </si>
  <si>
    <t>Zanjas</t>
  </si>
  <si>
    <t>Vallado</t>
  </si>
  <si>
    <t>Cimentacion y arquetas</t>
  </si>
  <si>
    <t>Drenajes y cunetas</t>
  </si>
  <si>
    <t>Cableado baja tension</t>
  </si>
  <si>
    <t>Cableado media tension</t>
  </si>
  <si>
    <t>Red de tierra</t>
  </si>
  <si>
    <t>Sistemas de seguridad</t>
  </si>
  <si>
    <t>Monitorización</t>
  </si>
  <si>
    <t xml:space="preserve">Test&amp;commissioning </t>
  </si>
  <si>
    <t>Spare parts</t>
  </si>
  <si>
    <t>Personal de obra</t>
  </si>
  <si>
    <t>Seguridad presencial</t>
  </si>
  <si>
    <t>Ingeniería y estudios</t>
  </si>
  <si>
    <t>Seguros y avales</t>
  </si>
  <si>
    <t>Gestión de residuos</t>
  </si>
  <si>
    <t>Inversor SUN2000-330KTL-H1</t>
  </si>
  <si>
    <t>Montaje electro-mecanico</t>
  </si>
  <si>
    <t>TOTAL</t>
  </si>
  <si>
    <t>PLANTA FV</t>
  </si>
  <si>
    <t>PLANTA H2</t>
  </si>
  <si>
    <t>CAPEX</t>
  </si>
  <si>
    <t>cantidad (KW)</t>
  </si>
  <si>
    <t>PLANTA DESALADORA</t>
  </si>
  <si>
    <t>OPEX</t>
  </si>
  <si>
    <t>OPERACIÓN Y MANTENIMIENTO</t>
  </si>
  <si>
    <t>cantidad (M3)</t>
  </si>
  <si>
    <t>6000 €/MWp</t>
  </si>
  <si>
    <t xml:space="preserve">CAPEX TOTAL </t>
  </si>
  <si>
    <t>54,6 MWp</t>
  </si>
  <si>
    <t>OPEX ANUAL fv</t>
  </si>
  <si>
    <t>OPEX ANUAL H2</t>
  </si>
  <si>
    <t>OPEX ANUAL DES</t>
  </si>
  <si>
    <t>GENERADO H2</t>
  </si>
  <si>
    <t>KG</t>
  </si>
  <si>
    <t>€/KG</t>
  </si>
  <si>
    <t>VENTA</t>
  </si>
  <si>
    <t>PV H2</t>
  </si>
  <si>
    <t>Efv prod anual</t>
  </si>
  <si>
    <t>Eh2 cons anual</t>
  </si>
  <si>
    <t xml:space="preserve">Kwh restantes año </t>
  </si>
  <si>
    <t>efv MWh</t>
  </si>
  <si>
    <t>€/MWh</t>
  </si>
  <si>
    <t>Venta FV</t>
  </si>
  <si>
    <t>https://www.omie.es/es/market-results/daily/daily-market/daily-hourly-price?</t>
  </si>
  <si>
    <t>VENTA TOTAL</t>
  </si>
  <si>
    <t>interes</t>
  </si>
  <si>
    <t>flujos de caja</t>
  </si>
  <si>
    <t>VAN</t>
  </si>
  <si>
    <t>TIR</t>
  </si>
  <si>
    <t>EBITDA</t>
  </si>
  <si>
    <t>PAYBACK</t>
  </si>
  <si>
    <t>AÑOS</t>
  </si>
  <si>
    <t>años</t>
  </si>
  <si>
    <t>https://www.cnmc.es/sites/default/files/3503513_4.pdf</t>
  </si>
  <si>
    <t>i=7%</t>
  </si>
  <si>
    <t>instalacion FV</t>
  </si>
  <si>
    <t>instalacion H2</t>
  </si>
  <si>
    <t>desaladora</t>
  </si>
  <si>
    <t>CAPEX TOTAL</t>
  </si>
  <si>
    <t xml:space="preserve">ANALISIS </t>
  </si>
  <si>
    <t>SALE RENTABLE CUANDO ACABA LA VIDA UTIL DE LA CENTRAL FV</t>
  </si>
  <si>
    <t>15 AÑOS</t>
  </si>
  <si>
    <t xml:space="preserve">Cantidad </t>
  </si>
  <si>
    <t>https://energiaestrategica.es/las-claves-para-alcanzar-la-rentabilidad-de-los-proyectos-del-hidrogeno-verde/</t>
  </si>
  <si>
    <t xml:space="preserve"> </t>
  </si>
  <si>
    <t>SUBVENCION</t>
  </si>
  <si>
    <t>PLANTA</t>
  </si>
  <si>
    <t>A 15 AÑOS VISTA</t>
  </si>
  <si>
    <t>https://www.motorpasion.com/futuro-movimiento/primer-precio-oficial-hidrogeno-verde-deja-algo-claro-demasiado-caro-para-ser-alternativa-real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</si>
</sst>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1" xfId="0" applyNumberFormat="1" applyBorder="1"/>
    <xf numFmtId="164" fontId="0" fillId="0" borderId="1" xfId="0" applyNumberFormat="1" applyBorder="1"/>
    <xf numFmtId="44" fontId="0" fillId="0" borderId="1" xfId="1" applyFont="1" applyBorder="1"/>
    <xf numFmtId="0" fontId="4" fillId="0" borderId="0" xfId="2"/>
    <xf numFmtId="0" fontId="0" fillId="0" borderId="2" xfId="0" applyBorder="1"/>
    <xf numFmtId="44" fontId="0" fillId="0" borderId="3" xfId="0" applyNumberFormat="1" applyBorder="1"/>
    <xf numFmtId="9" fontId="0" fillId="0" borderId="0" xfId="0" applyNumberFormat="1"/>
    <xf numFmtId="8" fontId="0" fillId="0" borderId="0" xfId="0" applyNumberFormat="1"/>
    <xf numFmtId="0" fontId="0" fillId="2" borderId="1" xfId="0" applyFill="1" applyBorder="1"/>
    <xf numFmtId="2" fontId="0" fillId="0" borderId="0" xfId="0" applyNumberFormat="1"/>
    <xf numFmtId="165" fontId="0" fillId="0" borderId="0" xfId="0" applyNumberFormat="1"/>
    <xf numFmtId="0" fontId="0" fillId="2" borderId="0" xfId="0" applyFill="1"/>
    <xf numFmtId="0" fontId="0" fillId="0" borderId="5" xfId="0" applyBorder="1"/>
    <xf numFmtId="164" fontId="0" fillId="0" borderId="5" xfId="1" applyNumberFormat="1" applyFont="1" applyBorder="1"/>
    <xf numFmtId="0" fontId="0" fillId="0" borderId="5" xfId="0" applyNumberFormat="1" applyBorder="1"/>
    <xf numFmtId="0" fontId="0" fillId="3" borderId="6" xfId="0" applyFill="1" applyBorder="1"/>
    <xf numFmtId="164" fontId="0" fillId="0" borderId="7" xfId="0" applyNumberFormat="1" applyBorder="1"/>
    <xf numFmtId="0" fontId="0" fillId="3" borderId="11" xfId="0" applyFill="1" applyBorder="1"/>
    <xf numFmtId="0" fontId="0" fillId="0" borderId="12" xfId="0" applyBorder="1"/>
    <xf numFmtId="164" fontId="0" fillId="0" borderId="12" xfId="1" applyNumberFormat="1" applyFont="1" applyBorder="1"/>
    <xf numFmtId="164" fontId="0" fillId="0" borderId="13" xfId="0" applyNumberFormat="1" applyBorder="1"/>
    <xf numFmtId="0" fontId="5" fillId="4" borderId="8" xfId="0" applyFont="1" applyFill="1" applyBorder="1"/>
    <xf numFmtId="0" fontId="5" fillId="4" borderId="9" xfId="0" applyFont="1" applyFill="1" applyBorder="1"/>
    <xf numFmtId="0" fontId="5" fillId="4" borderId="10" xfId="0" applyFont="1" applyFill="1" applyBorder="1"/>
    <xf numFmtId="0" fontId="0" fillId="5" borderId="2" xfId="0" applyFill="1" applyBorder="1"/>
    <xf numFmtId="164" fontId="0" fillId="5" borderId="3" xfId="0" applyNumberFormat="1" applyFill="1" applyBorder="1"/>
    <xf numFmtId="0" fontId="4" fillId="0" borderId="0" xfId="2" applyAlignment="1"/>
    <xf numFmtId="9" fontId="0" fillId="0" borderId="6" xfId="3" applyFont="1" applyBorder="1"/>
    <xf numFmtId="44" fontId="0" fillId="0" borderId="7" xfId="1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44" fontId="0" fillId="0" borderId="13" xfId="0" applyNumberFormat="1" applyBorder="1"/>
    <xf numFmtId="44" fontId="0" fillId="0" borderId="12" xfId="1" applyFont="1" applyBorder="1"/>
    <xf numFmtId="44" fontId="0" fillId="0" borderId="13" xfId="1" applyFont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4">
    <cellStyle name="Hipervínculo" xfId="2" builtinId="8"/>
    <cellStyle name="Moneda" xfId="1" builtinId="4"/>
    <cellStyle name="Normal" xfId="0" builtinId="0"/>
    <cellStyle name="Porcentaje" xfId="3" builtinId="5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164" formatCode="_-* #,##0.00\ [$€-C0A]_-;\-* #,##0.00\ [$€-C0A]_-;_-* &quot;-&quot;??\ [$€-C0A]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[$€-C0A]_-;\-* #,##0.00\ [$€-C0A]_-;_-* &quot;-&quot;??\ [$€-C0A]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3" name="Tabla3" displayName="Tabla3" ref="B2:E28" totalsRowShown="0" headerRowDxfId="29" headerRowBorderDxfId="28" tableBorderDxfId="27" totalsRowBorderDxfId="26">
  <autoFilter ref="B2:E28"/>
  <tableColumns count="4">
    <tableColumn id="1" name="PLANTA FV" dataDxfId="25"/>
    <tableColumn id="2" name="Cantidad " dataDxfId="24"/>
    <tableColumn id="3" name="Coste unitario" dataDxfId="23" dataCellStyle="Moneda"/>
    <tableColumn id="4" name="Coste total" dataDxfId="22">
      <calculatedColumnFormula>D3*C3</calculatedColumnFormula>
    </tableColumn>
  </tableColumns>
  <tableStyleInfo name="TableStyleMedium23" showFirstColumn="0" showLastColumn="0" showRowStripes="1" showColumnStripes="0"/>
</table>
</file>

<file path=xl/tables/table2.xml><?xml version="1.0" encoding="utf-8"?>
<table xmlns="http://schemas.openxmlformats.org/spreadsheetml/2006/main" id="4" name="Tabla4" displayName="Tabla4" ref="G2:J3" totalsRowShown="0" headerRowDxfId="21" headerRowBorderDxfId="20" tableBorderDxfId="19" totalsRowBorderDxfId="18">
  <autoFilter ref="G2:J3"/>
  <tableColumns count="4">
    <tableColumn id="1" name="PLANTA H2" dataDxfId="17"/>
    <tableColumn id="2" name="cantidad (KW)" dataDxfId="16"/>
    <tableColumn id="3" name="Coste unitario" dataDxfId="15" dataCellStyle="Moneda"/>
    <tableColumn id="4" name="Coste total" dataDxfId="14" dataCellStyle="Moneda">
      <calculatedColumnFormula>H3*I3</calculatedColumnFormula>
    </tableColumn>
  </tableColumns>
  <tableStyleInfo name="TableStyleMedium23" showFirstColumn="0" showLastColumn="0" showRowStripes="1" showColumnStripes="0"/>
</table>
</file>

<file path=xl/tables/table3.xml><?xml version="1.0" encoding="utf-8"?>
<table xmlns="http://schemas.openxmlformats.org/spreadsheetml/2006/main" id="5" name="Tabla5" displayName="Tabla5" ref="L2:O3" totalsRowShown="0" headerRowDxfId="13" headerRowBorderDxfId="12" tableBorderDxfId="11" totalsRowBorderDxfId="10">
  <autoFilter ref="L2:O3"/>
  <tableColumns count="4">
    <tableColumn id="1" name="PLANTA DESALADORA" dataDxfId="9"/>
    <tableColumn id="2" name="cantidad (M3)" dataDxfId="8"/>
    <tableColumn id="3" name="Coste unitario" dataDxfId="7" dataCellStyle="Moneda"/>
    <tableColumn id="4" name="Coste total" dataDxfId="6" dataCellStyle="Moneda"/>
  </tableColumns>
  <tableStyleInfo name="TableStyleMedium23" showFirstColumn="0" showLastColumn="0" showRowStripes="1" showColumnStripes="0"/>
</table>
</file>

<file path=xl/tables/table4.xml><?xml version="1.0" encoding="utf-8"?>
<table xmlns="http://schemas.openxmlformats.org/spreadsheetml/2006/main" id="1" name="Tabla1" displayName="Tabla1" ref="A1:C5" totalsRowShown="0" headerRowBorderDxfId="5" tableBorderDxfId="4" totalsRowBorderDxfId="3">
  <autoFilter ref="A1:C5"/>
  <tableColumns count="3">
    <tableColumn id="1" name="SUBVENCION" dataDxfId="2" dataCellStyle="Porcentaje"/>
    <tableColumn id="2" name="PLANTA" dataDxfId="1"/>
    <tableColumn id="3" name="CAPEX" dataDxfId="0" dataCellStyle="Moneda"/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.xml"/><Relationship Id="rId3" Type="http://schemas.openxmlformats.org/officeDocument/2006/relationships/hyperlink" Target="https://www.motorpasion.com/futuro-movimiento/primer-precio-oficial-hidrogeno-verde-deja-algo-claro-demasiado-caro-para-ser-alternativa-real" TargetMode="External"/><Relationship Id="rId7" Type="http://schemas.openxmlformats.org/officeDocument/2006/relationships/table" Target="../tables/table2.xml"/><Relationship Id="rId2" Type="http://schemas.openxmlformats.org/officeDocument/2006/relationships/hyperlink" Target="https://energiaestrategica.es/las-claves-para-alcanzar-la-rentabilidad-de-los-proyectos-del-hidrogeno-verde/" TargetMode="External"/><Relationship Id="rId1" Type="http://schemas.openxmlformats.org/officeDocument/2006/relationships/hyperlink" Target="https://www.omie.es/es/market-results/daily/daily-market/daily-hourly-price?" TargetMode="External"/><Relationship Id="rId6" Type="http://schemas.openxmlformats.org/officeDocument/2006/relationships/table" Target="../tables/table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nmc.es/sites/default/files/3503513_4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O33"/>
  <sheetViews>
    <sheetView tabSelected="1" topLeftCell="B1" workbookViewId="0">
      <selection activeCell="K26" sqref="K26"/>
    </sheetView>
  </sheetViews>
  <sheetFormatPr baseColWidth="10" defaultRowHeight="15" x14ac:dyDescent="0.25"/>
  <cols>
    <col min="2" max="2" width="29" customWidth="1"/>
    <col min="3" max="3" width="16.5703125" customWidth="1"/>
    <col min="4" max="4" width="19.85546875" customWidth="1"/>
    <col min="5" max="5" width="15.5703125" bestFit="1" customWidth="1"/>
    <col min="7" max="7" width="12.85546875" customWidth="1"/>
    <col min="8" max="8" width="15.5703125" bestFit="1" customWidth="1"/>
    <col min="9" max="9" width="17.28515625" customWidth="1"/>
    <col min="10" max="10" width="15.5703125" bestFit="1" customWidth="1"/>
    <col min="12" max="12" width="22.42578125" customWidth="1"/>
    <col min="13" max="13" width="15.85546875" customWidth="1"/>
    <col min="14" max="14" width="15.5703125" customWidth="1"/>
    <col min="15" max="15" width="14.5703125" bestFit="1" customWidth="1"/>
  </cols>
  <sheetData>
    <row r="2" spans="1:15" ht="15.75" x14ac:dyDescent="0.25">
      <c r="B2" s="24" t="s">
        <v>29</v>
      </c>
      <c r="C2" s="25" t="s">
        <v>73</v>
      </c>
      <c r="D2" s="25" t="s">
        <v>0</v>
      </c>
      <c r="E2" s="26" t="s">
        <v>1</v>
      </c>
      <c r="G2" s="32" t="s">
        <v>30</v>
      </c>
      <c r="H2" s="33" t="s">
        <v>32</v>
      </c>
      <c r="I2" s="33" t="s">
        <v>0</v>
      </c>
      <c r="J2" s="34" t="s">
        <v>1</v>
      </c>
      <c r="L2" s="32" t="s">
        <v>33</v>
      </c>
      <c r="M2" s="33" t="s">
        <v>36</v>
      </c>
      <c r="N2" s="33" t="s">
        <v>0</v>
      </c>
      <c r="O2" s="34" t="s">
        <v>1</v>
      </c>
    </row>
    <row r="3" spans="1:15" x14ac:dyDescent="0.25">
      <c r="A3" t="s">
        <v>31</v>
      </c>
      <c r="B3" s="18" t="s">
        <v>2</v>
      </c>
      <c r="C3" s="15">
        <v>78000</v>
      </c>
      <c r="D3" s="16">
        <v>84</v>
      </c>
      <c r="E3" s="19">
        <f>D3*C3</f>
        <v>6552000</v>
      </c>
      <c r="G3" s="35" t="s">
        <v>31</v>
      </c>
      <c r="H3" s="21">
        <v>22000</v>
      </c>
      <c r="I3" s="37">
        <v>2500</v>
      </c>
      <c r="J3" s="38">
        <f>H3*I3</f>
        <v>55000000</v>
      </c>
      <c r="L3" s="35" t="s">
        <v>31</v>
      </c>
      <c r="M3" s="21"/>
      <c r="N3" s="37"/>
      <c r="O3" s="38">
        <v>5000000</v>
      </c>
    </row>
    <row r="4" spans="1:15" x14ac:dyDescent="0.25">
      <c r="B4" s="18" t="s">
        <v>3</v>
      </c>
      <c r="C4" s="15">
        <v>3</v>
      </c>
      <c r="D4" s="16">
        <v>220000</v>
      </c>
      <c r="E4" s="19">
        <f t="shared" ref="E4:E28" si="0">D4*C4</f>
        <v>660000</v>
      </c>
      <c r="J4" s="2"/>
      <c r="N4" s="1"/>
      <c r="O4" s="1"/>
    </row>
    <row r="5" spans="1:15" x14ac:dyDescent="0.25">
      <c r="B5" s="18" t="s">
        <v>4</v>
      </c>
      <c r="C5" s="15">
        <v>3</v>
      </c>
      <c r="D5" s="16">
        <v>170000</v>
      </c>
      <c r="E5" s="19">
        <f t="shared" si="0"/>
        <v>510000</v>
      </c>
      <c r="G5" t="s">
        <v>34</v>
      </c>
      <c r="H5">
        <v>1440000</v>
      </c>
      <c r="I5">
        <v>4</v>
      </c>
      <c r="J5" s="1">
        <f>H5*I5</f>
        <v>5760000</v>
      </c>
      <c r="L5" t="s">
        <v>34</v>
      </c>
      <c r="M5">
        <v>14400</v>
      </c>
      <c r="N5" s="1">
        <v>0.5</v>
      </c>
      <c r="O5" s="1">
        <f>M5*N5</f>
        <v>7200</v>
      </c>
    </row>
    <row r="6" spans="1:15" x14ac:dyDescent="0.25">
      <c r="B6" s="18" t="s">
        <v>5</v>
      </c>
      <c r="C6" s="15">
        <v>3</v>
      </c>
      <c r="D6" s="16">
        <v>150000</v>
      </c>
      <c r="E6" s="19">
        <f t="shared" si="0"/>
        <v>450000</v>
      </c>
      <c r="G6" s="29" t="s">
        <v>74</v>
      </c>
    </row>
    <row r="7" spans="1:15" x14ac:dyDescent="0.25">
      <c r="B7" s="18" t="s">
        <v>26</v>
      </c>
      <c r="C7" s="15">
        <v>150</v>
      </c>
      <c r="D7" s="16">
        <v>9000</v>
      </c>
      <c r="E7" s="19">
        <f t="shared" si="0"/>
        <v>1350000</v>
      </c>
    </row>
    <row r="8" spans="1:15" x14ac:dyDescent="0.25">
      <c r="B8" s="18" t="s">
        <v>6</v>
      </c>
      <c r="C8" s="17">
        <v>54600000</v>
      </c>
      <c r="D8" s="16">
        <v>8.5000000000000006E-2</v>
      </c>
      <c r="E8" s="19">
        <f t="shared" si="0"/>
        <v>4641000</v>
      </c>
    </row>
    <row r="9" spans="1:15" x14ac:dyDescent="0.25">
      <c r="B9" s="18" t="s">
        <v>7</v>
      </c>
      <c r="C9" s="15">
        <v>1</v>
      </c>
      <c r="D9" s="16">
        <v>200000</v>
      </c>
      <c r="E9" s="19">
        <f t="shared" si="0"/>
        <v>200000</v>
      </c>
    </row>
    <row r="10" spans="1:15" x14ac:dyDescent="0.25">
      <c r="B10" s="18" t="s">
        <v>8</v>
      </c>
      <c r="C10" s="15">
        <v>1</v>
      </c>
      <c r="D10" s="16">
        <v>200000</v>
      </c>
      <c r="E10" s="19">
        <f t="shared" si="0"/>
        <v>200000</v>
      </c>
    </row>
    <row r="11" spans="1:15" x14ac:dyDescent="0.25">
      <c r="B11" s="18" t="s">
        <v>9</v>
      </c>
      <c r="C11" s="15">
        <v>3461</v>
      </c>
      <c r="D11" s="16">
        <v>75</v>
      </c>
      <c r="E11" s="19">
        <f t="shared" si="0"/>
        <v>259575</v>
      </c>
    </row>
    <row r="12" spans="1:15" x14ac:dyDescent="0.25">
      <c r="B12" s="18" t="s">
        <v>10</v>
      </c>
      <c r="C12" s="15">
        <v>1</v>
      </c>
      <c r="D12" s="16">
        <v>1000000</v>
      </c>
      <c r="E12" s="19">
        <f t="shared" si="0"/>
        <v>1000000</v>
      </c>
    </row>
    <row r="13" spans="1:15" x14ac:dyDescent="0.25">
      <c r="B13" s="18" t="s">
        <v>11</v>
      </c>
      <c r="C13" s="15">
        <v>3938</v>
      </c>
      <c r="D13" s="16">
        <v>20</v>
      </c>
      <c r="E13" s="19">
        <f t="shared" si="0"/>
        <v>78760</v>
      </c>
    </row>
    <row r="14" spans="1:15" x14ac:dyDescent="0.25">
      <c r="B14" s="18" t="s">
        <v>12</v>
      </c>
      <c r="C14" s="15">
        <v>1</v>
      </c>
      <c r="D14" s="16">
        <v>250000</v>
      </c>
      <c r="E14" s="19">
        <f t="shared" si="0"/>
        <v>250000</v>
      </c>
    </row>
    <row r="15" spans="1:15" x14ac:dyDescent="0.25">
      <c r="B15" s="18" t="s">
        <v>13</v>
      </c>
      <c r="C15" s="15">
        <v>1</v>
      </c>
      <c r="D15" s="16">
        <v>150000</v>
      </c>
      <c r="E15" s="19">
        <f t="shared" si="0"/>
        <v>150000</v>
      </c>
    </row>
    <row r="16" spans="1:15" x14ac:dyDescent="0.25">
      <c r="B16" s="18" t="s">
        <v>27</v>
      </c>
      <c r="C16" s="15">
        <v>1</v>
      </c>
      <c r="D16" s="16">
        <v>2000000</v>
      </c>
      <c r="E16" s="19">
        <f t="shared" si="0"/>
        <v>2000000</v>
      </c>
      <c r="L16" t="s">
        <v>48</v>
      </c>
      <c r="M16" s="12">
        <v>120165627</v>
      </c>
    </row>
    <row r="17" spans="1:14" x14ac:dyDescent="0.25">
      <c r="B17" s="18" t="s">
        <v>14</v>
      </c>
      <c r="C17" s="15">
        <v>1</v>
      </c>
      <c r="D17" s="16">
        <v>500000</v>
      </c>
      <c r="E17" s="19">
        <f t="shared" si="0"/>
        <v>500000</v>
      </c>
      <c r="L17" t="s">
        <v>49</v>
      </c>
      <c r="M17">
        <v>36720000</v>
      </c>
    </row>
    <row r="18" spans="1:14" x14ac:dyDescent="0.25">
      <c r="B18" s="18" t="s">
        <v>15</v>
      </c>
      <c r="C18" s="15">
        <v>1</v>
      </c>
      <c r="D18" s="16">
        <v>150000</v>
      </c>
      <c r="E18" s="19">
        <f t="shared" si="0"/>
        <v>150000</v>
      </c>
      <c r="M18">
        <f>M16-M17</f>
        <v>83445627</v>
      </c>
      <c r="N18" t="s">
        <v>50</v>
      </c>
    </row>
    <row r="19" spans="1:14" x14ac:dyDescent="0.25">
      <c r="B19" s="18" t="s">
        <v>16</v>
      </c>
      <c r="C19" s="15">
        <v>1</v>
      </c>
      <c r="D19" s="16">
        <v>75000</v>
      </c>
      <c r="E19" s="19">
        <f t="shared" si="0"/>
        <v>75000</v>
      </c>
      <c r="I19" t="s">
        <v>47</v>
      </c>
      <c r="J19">
        <v>4</v>
      </c>
      <c r="K19" t="s">
        <v>45</v>
      </c>
    </row>
    <row r="20" spans="1:14" ht="15.75" thickBot="1" x14ac:dyDescent="0.3">
      <c r="B20" s="18" t="s">
        <v>17</v>
      </c>
      <c r="C20" s="15">
        <v>1</v>
      </c>
      <c r="D20" s="16">
        <v>180000</v>
      </c>
      <c r="E20" s="19">
        <f t="shared" si="0"/>
        <v>180000</v>
      </c>
      <c r="I20" t="s">
        <v>43</v>
      </c>
      <c r="J20">
        <v>1440000</v>
      </c>
      <c r="K20" t="s">
        <v>44</v>
      </c>
      <c r="L20" t="s">
        <v>51</v>
      </c>
      <c r="M20">
        <f>M18/1000</f>
        <v>83445.626999999993</v>
      </c>
    </row>
    <row r="21" spans="1:14" ht="15.75" thickBot="1" x14ac:dyDescent="0.3">
      <c r="B21" s="18" t="s">
        <v>18</v>
      </c>
      <c r="C21" s="15">
        <v>1</v>
      </c>
      <c r="D21" s="16">
        <v>200000</v>
      </c>
      <c r="E21" s="19">
        <f t="shared" si="0"/>
        <v>200000</v>
      </c>
      <c r="I21" t="s">
        <v>46</v>
      </c>
      <c r="J21" s="5">
        <f>J20*J19</f>
        <v>5760000</v>
      </c>
      <c r="M21" s="1">
        <v>80.180000000000007</v>
      </c>
      <c r="N21" t="s">
        <v>52</v>
      </c>
    </row>
    <row r="22" spans="1:14" ht="15.75" thickBot="1" x14ac:dyDescent="0.3">
      <c r="B22" s="18" t="s">
        <v>19</v>
      </c>
      <c r="C22" s="15">
        <v>1</v>
      </c>
      <c r="D22" s="16">
        <v>150000</v>
      </c>
      <c r="E22" s="19">
        <f t="shared" si="0"/>
        <v>150000</v>
      </c>
      <c r="G22" s="6" t="s">
        <v>79</v>
      </c>
      <c r="L22" t="s">
        <v>53</v>
      </c>
      <c r="M22" s="3">
        <f>M20*M21</f>
        <v>6690670.3728600005</v>
      </c>
      <c r="N22" s="6" t="s">
        <v>54</v>
      </c>
    </row>
    <row r="23" spans="1:14" x14ac:dyDescent="0.25">
      <c r="B23" s="18" t="s">
        <v>20</v>
      </c>
      <c r="C23" s="15">
        <v>1</v>
      </c>
      <c r="D23" s="16">
        <v>50000</v>
      </c>
      <c r="E23" s="19">
        <f t="shared" si="0"/>
        <v>50000</v>
      </c>
    </row>
    <row r="24" spans="1:14" ht="15.75" thickBot="1" x14ac:dyDescent="0.3">
      <c r="B24" s="18" t="s">
        <v>21</v>
      </c>
      <c r="C24" s="15">
        <v>1</v>
      </c>
      <c r="D24" s="16">
        <v>800000</v>
      </c>
      <c r="E24" s="19">
        <f t="shared" si="0"/>
        <v>800000</v>
      </c>
    </row>
    <row r="25" spans="1:14" ht="15.75" thickBot="1" x14ac:dyDescent="0.3">
      <c r="B25" s="18" t="s">
        <v>22</v>
      </c>
      <c r="C25" s="15">
        <v>1</v>
      </c>
      <c r="D25" s="16">
        <v>150000</v>
      </c>
      <c r="E25" s="19">
        <f t="shared" si="0"/>
        <v>150000</v>
      </c>
      <c r="L25" s="7" t="s">
        <v>55</v>
      </c>
      <c r="M25" s="8">
        <f>M22+J21</f>
        <v>12450670.37286</v>
      </c>
    </row>
    <row r="26" spans="1:14" x14ac:dyDescent="0.25">
      <c r="B26" s="18" t="s">
        <v>23</v>
      </c>
      <c r="C26" s="15">
        <v>1</v>
      </c>
      <c r="D26" s="16">
        <v>300000</v>
      </c>
      <c r="E26" s="19">
        <f t="shared" si="0"/>
        <v>300000</v>
      </c>
    </row>
    <row r="27" spans="1:14" x14ac:dyDescent="0.25">
      <c r="B27" s="18" t="s">
        <v>24</v>
      </c>
      <c r="C27" s="15">
        <v>1</v>
      </c>
      <c r="D27" s="16">
        <v>70000</v>
      </c>
      <c r="E27" s="19">
        <f t="shared" si="0"/>
        <v>70000</v>
      </c>
    </row>
    <row r="28" spans="1:14" ht="15.75" thickBot="1" x14ac:dyDescent="0.3">
      <c r="B28" s="20" t="s">
        <v>25</v>
      </c>
      <c r="C28" s="21">
        <v>1</v>
      </c>
      <c r="D28" s="22">
        <v>100000</v>
      </c>
      <c r="E28" s="23">
        <f t="shared" si="0"/>
        <v>100000</v>
      </c>
    </row>
    <row r="29" spans="1:14" ht="15.75" thickBot="1" x14ac:dyDescent="0.3">
      <c r="D29" s="27" t="s">
        <v>28</v>
      </c>
      <c r="E29" s="28">
        <f>SUM(E3:E28)</f>
        <v>21026335</v>
      </c>
      <c r="H29" t="s">
        <v>38</v>
      </c>
      <c r="I29" s="4">
        <f>E29+J3+O3</f>
        <v>81026335</v>
      </c>
    </row>
    <row r="31" spans="1:14" x14ac:dyDescent="0.25">
      <c r="A31" t="s">
        <v>34</v>
      </c>
      <c r="B31" t="s">
        <v>35</v>
      </c>
      <c r="C31">
        <v>1</v>
      </c>
      <c r="D31" t="s">
        <v>37</v>
      </c>
      <c r="E31" s="1">
        <f>6000*54.6</f>
        <v>327600</v>
      </c>
      <c r="H31" t="s">
        <v>40</v>
      </c>
      <c r="I31" s="1">
        <f>6000*54.6</f>
        <v>327600</v>
      </c>
    </row>
    <row r="32" spans="1:14" ht="15.75" thickBot="1" x14ac:dyDescent="0.3">
      <c r="D32" t="s">
        <v>39</v>
      </c>
      <c r="H32" t="s">
        <v>41</v>
      </c>
      <c r="I32" s="1">
        <v>5760000</v>
      </c>
    </row>
    <row r="33" spans="8:13" ht="15.75" thickBot="1" x14ac:dyDescent="0.3">
      <c r="H33" t="s">
        <v>42</v>
      </c>
      <c r="I33" s="1">
        <v>7200</v>
      </c>
      <c r="J33" s="3">
        <f>I31+I32+I33</f>
        <v>6094800</v>
      </c>
      <c r="M33" s="2">
        <f>M25-J33</f>
        <v>6355870.3728599995</v>
      </c>
    </row>
  </sheetData>
  <hyperlinks>
    <hyperlink ref="N22" r:id="rId1"/>
    <hyperlink ref="G6" r:id="rId2"/>
    <hyperlink ref="G22" r:id="rId3"/>
  </hyperlinks>
  <pageMargins left="0.7" right="0.7" top="0.75" bottom="0.75" header="0.3" footer="0.3"/>
  <pageSetup paperSize="9" orientation="portrait" r:id="rId4"/>
  <legacyDrawing r:id="rId5"/>
  <tableParts count="3">
    <tablePart r:id="rId6"/>
    <tablePart r:id="rId7"/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1"/>
  <sheetViews>
    <sheetView workbookViewId="0">
      <selection activeCell="C15" sqref="C15"/>
    </sheetView>
  </sheetViews>
  <sheetFormatPr baseColWidth="10" defaultRowHeight="15" x14ac:dyDescent="0.25"/>
  <cols>
    <col min="1" max="1" width="13.42578125" customWidth="1"/>
    <col min="2" max="3" width="16.140625" customWidth="1"/>
    <col min="4" max="4" width="15.7109375" customWidth="1"/>
    <col min="5" max="13" width="16.140625" customWidth="1"/>
    <col min="14" max="16" width="15.42578125" customWidth="1"/>
    <col min="17" max="17" width="16.28515625" customWidth="1"/>
    <col min="18" max="32" width="15.85546875" customWidth="1"/>
  </cols>
  <sheetData>
    <row r="1" spans="1:47" ht="27" customHeight="1" thickBot="1" x14ac:dyDescent="0.3">
      <c r="A1" t="s">
        <v>56</v>
      </c>
      <c r="B1" s="9">
        <v>7.0000000000000007E-2</v>
      </c>
      <c r="C1" s="11" t="s">
        <v>78</v>
      </c>
      <c r="D1" s="39" t="s">
        <v>71</v>
      </c>
      <c r="E1" s="40"/>
      <c r="F1" s="40"/>
      <c r="G1" s="41"/>
    </row>
    <row r="2" spans="1:47" ht="27" customHeight="1" x14ac:dyDescent="0.25">
      <c r="A2" t="s">
        <v>57</v>
      </c>
      <c r="B2">
        <v>-81026335</v>
      </c>
      <c r="C2" s="1">
        <v>6355870.3700000001</v>
      </c>
      <c r="D2" s="1">
        <v>6355870.3700000001</v>
      </c>
      <c r="E2" s="1">
        <v>6355870.3700000001</v>
      </c>
      <c r="F2" s="1">
        <v>6355870.3700000001</v>
      </c>
      <c r="G2" s="1">
        <v>6355870.3700000001</v>
      </c>
      <c r="H2" s="1">
        <v>6355870.3700000001</v>
      </c>
      <c r="I2" s="1">
        <v>6355870.3700000001</v>
      </c>
      <c r="J2" s="1">
        <v>6355870.3700000001</v>
      </c>
      <c r="K2" s="1">
        <v>6355870.3700000001</v>
      </c>
      <c r="L2" s="1">
        <v>6355870.3700000001</v>
      </c>
      <c r="M2" s="1">
        <v>6355870.3700000001</v>
      </c>
      <c r="N2" s="1">
        <v>6355870.3700000001</v>
      </c>
      <c r="O2" s="1">
        <v>6355870.3700000001</v>
      </c>
      <c r="P2" s="1">
        <v>6355870.3700000001</v>
      </c>
      <c r="Q2" s="1">
        <v>6355870.3700000001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47" ht="27" customHeight="1" x14ac:dyDescent="0.25"/>
    <row r="4" spans="1:47" ht="27" customHeight="1" x14ac:dyDescent="0.25">
      <c r="A4" t="s">
        <v>65</v>
      </c>
      <c r="B4" s="6" t="s">
        <v>64</v>
      </c>
    </row>
    <row r="5" spans="1:47" ht="27" customHeight="1" x14ac:dyDescent="0.25">
      <c r="A5" t="s">
        <v>58</v>
      </c>
      <c r="B5" s="10">
        <f>NPV(0.07,C2:Q2)+B2</f>
        <v>-23137614.242418766</v>
      </c>
    </row>
    <row r="6" spans="1:47" ht="27" customHeight="1" x14ac:dyDescent="0.25">
      <c r="A6" t="s">
        <v>59</v>
      </c>
      <c r="B6" s="9">
        <f>IRR(B2:Q2,0.1)</f>
        <v>2.1056662100720214E-2</v>
      </c>
    </row>
    <row r="7" spans="1:47" ht="27" customHeight="1" x14ac:dyDescent="0.25">
      <c r="A7" t="s">
        <v>60</v>
      </c>
      <c r="B7" s="2">
        <f>Hoja1!M25-Hoja1!J33</f>
        <v>6355870.3728599995</v>
      </c>
    </row>
    <row r="8" spans="1:47" ht="27" customHeight="1" x14ac:dyDescent="0.25">
      <c r="A8" t="s">
        <v>61</v>
      </c>
      <c r="B8" s="12">
        <f>ROUNDUP(Hoja1!I29/(Hoja1!M25-Hoja1!J33),0)</f>
        <v>13</v>
      </c>
      <c r="C8" t="s">
        <v>63</v>
      </c>
    </row>
    <row r="9" spans="1:47" ht="27" customHeight="1" x14ac:dyDescent="0.25"/>
    <row r="10" spans="1:47" ht="27" customHeight="1" x14ac:dyDescent="0.25"/>
    <row r="11" spans="1:47" ht="27" customHeight="1" x14ac:dyDescent="0.25"/>
    <row r="12" spans="1:47" ht="27" customHeight="1" x14ac:dyDescent="0.25">
      <c r="B12" t="s">
        <v>75</v>
      </c>
    </row>
    <row r="13" spans="1:47" ht="27" customHeight="1" x14ac:dyDescent="0.25"/>
    <row r="14" spans="1:47" ht="27" customHeight="1" x14ac:dyDescent="0.25"/>
    <row r="15" spans="1:47" ht="27" customHeight="1" x14ac:dyDescent="0.25"/>
    <row r="16" spans="1:47" ht="27" customHeight="1" x14ac:dyDescent="0.25"/>
    <row r="17" ht="27" customHeight="1" x14ac:dyDescent="0.25"/>
    <row r="18" ht="27" customHeight="1" x14ac:dyDescent="0.25"/>
    <row r="19" ht="27" customHeight="1" x14ac:dyDescent="0.25"/>
    <row r="20" ht="27" customHeight="1" x14ac:dyDescent="0.25"/>
    <row r="21" ht="27" customHeight="1" x14ac:dyDescent="0.25"/>
  </sheetData>
  <mergeCells count="1">
    <mergeCell ref="D1:G1"/>
  </mergeCells>
  <hyperlinks>
    <hyperlink ref="B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B12" sqref="B12"/>
    </sheetView>
  </sheetViews>
  <sheetFormatPr baseColWidth="10" defaultRowHeight="15" x14ac:dyDescent="0.25"/>
  <cols>
    <col min="1" max="1" width="15" customWidth="1"/>
    <col min="2" max="2" width="17.7109375" customWidth="1"/>
    <col min="3" max="3" width="20.42578125" customWidth="1"/>
    <col min="4" max="17" width="16.140625" customWidth="1"/>
  </cols>
  <sheetData>
    <row r="1" spans="1:17" x14ac:dyDescent="0.25">
      <c r="A1" s="32" t="s">
        <v>76</v>
      </c>
      <c r="B1" s="33" t="s">
        <v>77</v>
      </c>
      <c r="C1" s="34" t="s">
        <v>31</v>
      </c>
    </row>
    <row r="2" spans="1:17" ht="20.25" customHeight="1" x14ac:dyDescent="0.25">
      <c r="A2" s="30">
        <v>0.35</v>
      </c>
      <c r="B2" s="15" t="s">
        <v>66</v>
      </c>
      <c r="C2" s="31">
        <f>(1-'analisis con ayuda'!A2)*Hoja1!E29</f>
        <v>13667117.75</v>
      </c>
    </row>
    <row r="3" spans="1:17" ht="20.25" customHeight="1" x14ac:dyDescent="0.25">
      <c r="A3" s="30">
        <v>0.35</v>
      </c>
      <c r="B3" s="15" t="s">
        <v>67</v>
      </c>
      <c r="C3" s="31">
        <f>(1-A3)*Hoja1!J3</f>
        <v>35750000</v>
      </c>
    </row>
    <row r="4" spans="1:17" ht="20.25" customHeight="1" x14ac:dyDescent="0.25">
      <c r="A4" s="30">
        <v>0</v>
      </c>
      <c r="B4" s="15" t="s">
        <v>68</v>
      </c>
      <c r="C4" s="31">
        <f>Hoja1!O3</f>
        <v>5000000</v>
      </c>
    </row>
    <row r="5" spans="1:17" ht="20.25" customHeight="1" x14ac:dyDescent="0.25">
      <c r="A5" s="35"/>
      <c r="B5" s="21" t="s">
        <v>69</v>
      </c>
      <c r="C5" s="36">
        <f>SUM(C2:C4)</f>
        <v>54417117.75</v>
      </c>
    </row>
    <row r="6" spans="1:17" ht="20.25" customHeight="1" x14ac:dyDescent="0.25">
      <c r="B6" t="s">
        <v>56</v>
      </c>
      <c r="C6" s="9">
        <v>7.0000000000000007E-2</v>
      </c>
    </row>
    <row r="7" spans="1:17" ht="20.25" customHeight="1" x14ac:dyDescent="0.25">
      <c r="B7" s="14" t="s">
        <v>70</v>
      </c>
      <c r="C7" s="14" t="s">
        <v>72</v>
      </c>
    </row>
    <row r="8" spans="1:17" ht="20.25" customHeight="1" x14ac:dyDescent="0.25">
      <c r="A8" t="s">
        <v>57</v>
      </c>
      <c r="B8" s="2">
        <f>-C5</f>
        <v>-54417117.75</v>
      </c>
      <c r="C8" s="1">
        <v>6355870.3700000001</v>
      </c>
      <c r="D8" s="1">
        <v>6355870.3700000001</v>
      </c>
      <c r="E8" s="1">
        <v>6355870.3700000001</v>
      </c>
      <c r="F8" s="1">
        <v>6355870.3700000001</v>
      </c>
      <c r="G8" s="1">
        <v>6355870.3700000001</v>
      </c>
      <c r="H8" s="1">
        <v>6355870.3700000001</v>
      </c>
      <c r="I8" s="1">
        <v>6355870.3700000001</v>
      </c>
      <c r="J8" s="1">
        <v>6355870.3700000001</v>
      </c>
      <c r="K8" s="1">
        <v>6355870.3700000001</v>
      </c>
      <c r="L8" s="1">
        <v>6355870.3700000001</v>
      </c>
      <c r="M8" s="1">
        <v>6355870.3700000001</v>
      </c>
      <c r="N8" s="1">
        <v>6355870.3700000001</v>
      </c>
      <c r="O8" s="1">
        <v>6355870.3700000001</v>
      </c>
      <c r="P8" s="1">
        <v>6355870.3700000001</v>
      </c>
      <c r="Q8" s="1">
        <v>6355870.3700000001</v>
      </c>
    </row>
    <row r="9" spans="1:17" ht="20.25" customHeight="1" x14ac:dyDescent="0.25"/>
    <row r="10" spans="1:17" ht="20.25" customHeight="1" x14ac:dyDescent="0.25">
      <c r="A10" t="s">
        <v>58</v>
      </c>
      <c r="B10" s="2">
        <f>NPV(0.07,C8:Q8)+B8</f>
        <v>3471603.007581234</v>
      </c>
    </row>
    <row r="11" spans="1:17" ht="20.25" customHeight="1" x14ac:dyDescent="0.25">
      <c r="A11" t="s">
        <v>59</v>
      </c>
      <c r="B11" s="9">
        <f>IRR(B8:Q8,0.1)</f>
        <v>7.9957319039601016E-2</v>
      </c>
    </row>
    <row r="12" spans="1:17" ht="20.25" customHeight="1" x14ac:dyDescent="0.25">
      <c r="A12" t="s">
        <v>60</v>
      </c>
      <c r="B12" s="2">
        <f>'analisis sin ayuda'!B7</f>
        <v>6355870.3728599995</v>
      </c>
    </row>
    <row r="13" spans="1:17" ht="20.25" customHeight="1" x14ac:dyDescent="0.25">
      <c r="A13" t="s">
        <v>61</v>
      </c>
      <c r="B13" s="13">
        <f>ROUNDUP(C5/C8,0)</f>
        <v>9</v>
      </c>
      <c r="C13" t="s">
        <v>62</v>
      </c>
    </row>
    <row r="14" spans="1:17" ht="20.25" customHeight="1" x14ac:dyDescent="0.25"/>
    <row r="15" spans="1:17" ht="20.25" customHeight="1" x14ac:dyDescent="0.25"/>
    <row r="16" spans="1:17" ht="20.25" customHeight="1" x14ac:dyDescent="0.25"/>
    <row r="17" ht="20.25" customHeight="1" x14ac:dyDescent="0.25"/>
    <row r="18" ht="20.25" customHeight="1" x14ac:dyDescent="0.25"/>
    <row r="19" ht="20.25" customHeight="1" x14ac:dyDescent="0.25"/>
    <row r="20" ht="20.25" customHeight="1" x14ac:dyDescent="0.25"/>
    <row r="21" ht="20.25" customHeight="1" x14ac:dyDescent="0.25"/>
    <row r="22" ht="20.25" customHeight="1" x14ac:dyDescent="0.25"/>
    <row r="23" ht="20.25" customHeight="1" x14ac:dyDescent="0.25"/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DEC3EEDB36734098E55D077E5C3584" ma:contentTypeVersion="12" ma:contentTypeDescription="Crear nuevo documento." ma:contentTypeScope="" ma:versionID="6e75157145cec557c773da329691c24c">
  <xsd:schema xmlns:xsd="http://www.w3.org/2001/XMLSchema" xmlns:xs="http://www.w3.org/2001/XMLSchema" xmlns:p="http://schemas.microsoft.com/office/2006/metadata/properties" xmlns:ns2="0b4b1c4d-6bb0-4ef4-b5bc-519edc72ffe9" xmlns:ns3="c841b233-7233-448a-ba0a-1f28b3423e96" targetNamespace="http://schemas.microsoft.com/office/2006/metadata/properties" ma:root="true" ma:fieldsID="24bc60d0dfdfa5b4d280ec53884c48de" ns2:_="" ns3:_="">
    <xsd:import namespace="0b4b1c4d-6bb0-4ef4-b5bc-519edc72ffe9"/>
    <xsd:import namespace="c841b233-7233-448a-ba0a-1f28b3423e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b1c4d-6bb0-4ef4-b5bc-519edc72ff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132446be-fb6d-4adf-bbdb-82041c28dc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41b233-7233-448a-ba0a-1f28b3423e9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92fdde-a9eb-40d5-95b3-97fe10386f85}" ma:internalName="TaxCatchAll" ma:showField="CatchAllData" ma:web="c841b233-7233-448a-ba0a-1f28b3423e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41b233-7233-448a-ba0a-1f28b3423e96" xsi:nil="true"/>
    <lcf76f155ced4ddcb4097134ff3c332f xmlns="0b4b1c4d-6bb0-4ef4-b5bc-519edc72ffe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E31DE77-3131-42B2-9070-8D67D5F70382}"/>
</file>

<file path=customXml/itemProps2.xml><?xml version="1.0" encoding="utf-8"?>
<ds:datastoreItem xmlns:ds="http://schemas.openxmlformats.org/officeDocument/2006/customXml" ds:itemID="{C355723D-E87F-4A28-82D0-5D71103DE3B0}"/>
</file>

<file path=customXml/itemProps3.xml><?xml version="1.0" encoding="utf-8"?>
<ds:datastoreItem xmlns:ds="http://schemas.openxmlformats.org/officeDocument/2006/customXml" ds:itemID="{269DC319-F292-48B6-BCCD-1DB679E278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analisis sin ayuda</vt:lpstr>
      <vt:lpstr>analisis con ayuda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Daniel</dc:creator>
  <cp:lastModifiedBy>Daniel</cp:lastModifiedBy>
  <dcterms:created xsi:type="dcterms:W3CDTF">2024-10-13T11:09:06Z</dcterms:created>
  <dcterms:modified xsi:type="dcterms:W3CDTF">2024-10-26T18:06:13Z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0x0101009EDEC3EEDB36734098E55D077E5C3584</vt:lpwstr>
  </property>
  <property fmtid="{D5CDD505-2E9C-101B-9397-08002B2CF9AE}" pid="3" name="Order">
    <vt:r8>5792000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</Properties>
</file>